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36" yWindow="0" windowWidth="19400" windowHeight="14020" tabRatio="293" activeTab="0"/>
  </bookViews>
  <sheets>
    <sheet name="Title" sheetId="1" r:id="rId1"/>
    <sheet name="Assumptions" sheetId="2" r:id="rId2"/>
    <sheet name="Worksheet" sheetId="3" r:id="rId3"/>
    <sheet name="Chart" sheetId="4" r:id="rId4"/>
  </sheets>
  <definedNames/>
  <calcPr fullCalcOnLoad="1"/>
</workbook>
</file>

<file path=xl/sharedStrings.xml><?xml version="1.0" encoding="utf-8"?>
<sst xmlns="http://schemas.openxmlformats.org/spreadsheetml/2006/main" count="113" uniqueCount="87">
  <si>
    <t>Current assets per share</t>
  </si>
  <si>
    <t>Revenue</t>
  </si>
  <si>
    <t>General assumptions</t>
  </si>
  <si>
    <t>RHG's interest rate table</t>
  </si>
  <si>
    <t>$</t>
  </si>
  <si>
    <t>Other expenses</t>
  </si>
  <si>
    <t>email  info@intelligentinvestor.com.au or call 1800 620 414 if you have any queries</t>
  </si>
  <si>
    <t>Warning II: This financial model is wrong. We can guarantee that it will not</t>
  </si>
  <si>
    <t>forecast the future particularly accurately. It is mean to be a guide only.</t>
  </si>
  <si>
    <r>
      <t>Blue text</t>
    </r>
    <r>
      <rPr>
        <sz val="10"/>
        <rFont val="Verdana"/>
        <family val="0"/>
      </rPr>
      <t xml:space="preserve"> means a variable that you can change</t>
    </r>
  </si>
  <si>
    <r>
      <t>Black text</t>
    </r>
    <r>
      <rPr>
        <sz val="10"/>
        <rFont val="Verdana"/>
        <family val="0"/>
      </rPr>
      <t xml:space="preserve"> equals a formula - don't change it unless you know what you are doing</t>
    </r>
  </si>
  <si>
    <t>Year ended 31 December</t>
  </si>
  <si>
    <t>Net assets at 31 Dec 08</t>
  </si>
  <si>
    <t>Trail commission liability (post tax)</t>
  </si>
  <si>
    <t>The Intelligent Investor</t>
  </si>
  <si>
    <t>Created by Steven Johnson, 18 June 2009</t>
  </si>
  <si>
    <t>% p.a.</t>
  </si>
  <si>
    <t>Current asset backing</t>
  </si>
  <si>
    <t>2009 discounted cashflow</t>
  </si>
  <si>
    <t>2010 discounted cashlow</t>
  </si>
  <si>
    <t>2012 discounted cashlow</t>
  </si>
  <si>
    <t>2013 discounted cashflow</t>
  </si>
  <si>
    <t>2014 discounted cashlow</t>
  </si>
  <si>
    <t>2011 discounted cashflow</t>
  </si>
  <si>
    <t>2015 discounted cashflow</t>
  </si>
  <si>
    <t>Discounted cashflow per share</t>
  </si>
  <si>
    <t>$</t>
  </si>
  <si>
    <t>Current NTA</t>
  </si>
  <si>
    <t>Total</t>
  </si>
  <si>
    <t>$m</t>
  </si>
  <si>
    <t>RHG Financial Model</t>
  </si>
  <si>
    <t>Loan portfolio size</t>
  </si>
  <si>
    <t>$m</t>
  </si>
  <si>
    <t>Funding margin from clients</t>
  </si>
  <si>
    <t>Cost of funds</t>
  </si>
  <si>
    <t>Runoff rate</t>
  </si>
  <si>
    <t>Early repayment fees</t>
  </si>
  <si>
    <t>Trail commission</t>
  </si>
  <si>
    <t>Expenses</t>
  </si>
  <si>
    <t>bp</t>
  </si>
  <si>
    <t>%</t>
  </si>
  <si>
    <t>Shares on issue</t>
  </si>
  <si>
    <t>m</t>
  </si>
  <si>
    <t>Net interest margin</t>
  </si>
  <si>
    <t>Opening mortgage book</t>
  </si>
  <si>
    <t>Runoff</t>
  </si>
  <si>
    <t>Closing mortgage book</t>
  </si>
  <si>
    <t>Average mortgage book</t>
  </si>
  <si>
    <t>Pre-tax cashflow</t>
  </si>
  <si>
    <t>Tax</t>
  </si>
  <si>
    <t>Post tax cashflow</t>
  </si>
  <si>
    <t>Tax rate</t>
  </si>
  <si>
    <t>Potential dividend per share</t>
  </si>
  <si>
    <t>Discount rate</t>
  </si>
  <si>
    <t>NPV</t>
  </si>
  <si>
    <t>NPV per share</t>
  </si>
  <si>
    <t>Pre tax cashflow per share</t>
  </si>
  <si>
    <t>Easy Start</t>
  </si>
  <si>
    <t>Interest Saver</t>
  </si>
  <si>
    <t>Low Doc</t>
  </si>
  <si>
    <t>Other</t>
  </si>
  <si>
    <t>Weighted average</t>
  </si>
  <si>
    <t xml:space="preserve"> </t>
  </si>
  <si>
    <t>% of portfolio</t>
  </si>
  <si>
    <t>Current interest rate</t>
  </si>
  <si>
    <t>Current 30 day swap rate</t>
  </si>
  <si>
    <t>RHG's funding table</t>
  </si>
  <si>
    <t>RMBS</t>
  </si>
  <si>
    <t>Warehouse facilities</t>
  </si>
  <si>
    <t>Amount</t>
  </si>
  <si>
    <t>Average margin</t>
  </si>
  <si>
    <t>Total cash income</t>
  </si>
  <si>
    <t>Total expenses</t>
  </si>
  <si>
    <t>Overheads</t>
  </si>
  <si>
    <t>Check</t>
  </si>
  <si>
    <t>Net tangible assets</t>
  </si>
  <si>
    <t>NTA per share</t>
  </si>
  <si>
    <t>Deferred transaction costs (post tax)</t>
  </si>
  <si>
    <t>Net assets per share</t>
  </si>
  <si>
    <t>Cash spent on buyback</t>
  </si>
  <si>
    <t>Shares bought back</t>
  </si>
  <si>
    <t>Post buyback NTA</t>
  </si>
  <si>
    <t>Value of future cashflow per share</t>
  </si>
  <si>
    <t>Total value per share</t>
  </si>
  <si>
    <t>Income</t>
  </si>
  <si>
    <t>Assumptions</t>
  </si>
  <si>
    <t>Worksheet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</si>
</sst>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General"/>
    <numFmt numFmtId="171" formatCode="0%"/>
    <numFmt numFmtId="172" formatCode="0.00%"/>
    <numFmt numFmtId="173" formatCode="0.00000000000000%"/>
    <numFmt numFmtId="174" formatCode="0.00"/>
    <numFmt numFmtId="175" formatCode="d\ mmmm\ yyyy"/>
    <numFmt numFmtId="176" formatCode="\$#,##0.00_);[Red]\(\$#,##0.00\)"/>
    <numFmt numFmtId="177" formatCode="0.0000%"/>
  </numFmts>
  <fonts count="15">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sz val="8"/>
      <name val="Verdana"/>
      <family val="0"/>
    </font>
    <font>
      <sz val="10"/>
      <color indexed="48"/>
      <name val="Verdana"/>
      <family val="0"/>
    </font>
    <font>
      <b/>
      <sz val="14"/>
      <name val="Verdana"/>
      <family val="0"/>
    </font>
    <font>
      <b/>
      <sz val="12"/>
      <color indexed="10"/>
      <name val="Verdana"/>
      <family val="0"/>
    </font>
    <font>
      <sz val="10"/>
      <color indexed="12"/>
      <name val="Verdana"/>
      <family val="0"/>
    </font>
    <font>
      <b/>
      <sz val="11"/>
      <color indexed="8"/>
      <name val="Calibri"/>
      <family val="0"/>
    </font>
    <font>
      <sz val="10"/>
      <color indexed="8"/>
      <name val="Calibri"/>
      <family val="0"/>
    </font>
    <font>
      <b/>
      <sz val="18"/>
      <color indexed="8"/>
      <name val="Calibri"/>
      <family val="0"/>
    </font>
    <font>
      <sz val="11"/>
      <color indexed="8"/>
      <name val="Calibri"/>
      <family val="0"/>
    </font>
  </fonts>
  <fills count="2">
    <fill>
      <patternFill/>
    </fill>
    <fill>
      <patternFill patternType="gray125"/>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6">
    <xf numFmtId="0" fontId="0" fillId="0" borderId="0" xfId="0" applyAlignment="1">
      <alignment/>
    </xf>
    <xf numFmtId="9" fontId="0" fillId="0" borderId="0" xfId="0" applyNumberFormat="1" applyAlignment="1">
      <alignment/>
    </xf>
    <xf numFmtId="8" fontId="0" fillId="0" borderId="0" xfId="0" applyNumberFormat="1" applyAlignment="1">
      <alignment/>
    </xf>
    <xf numFmtId="0" fontId="1" fillId="0" borderId="0" xfId="0" applyFont="1" applyAlignment="1">
      <alignment/>
    </xf>
    <xf numFmtId="0" fontId="1" fillId="0" borderId="1" xfId="0" applyFont="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1" fillId="0" borderId="5" xfId="0" applyFont="1" applyBorder="1" applyAlignment="1">
      <alignment/>
    </xf>
    <xf numFmtId="0" fontId="1" fillId="0" borderId="6" xfId="0" applyFont="1" applyBorder="1" applyAlignment="1">
      <alignment/>
    </xf>
    <xf numFmtId="10" fontId="1" fillId="0" borderId="7" xfId="0" applyNumberFormat="1"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4" fontId="0" fillId="0" borderId="0" xfId="0" applyNumberFormat="1" applyAlignment="1">
      <alignment/>
    </xf>
    <xf numFmtId="3" fontId="7" fillId="0" borderId="0" xfId="0" applyNumberFormat="1" applyFont="1" applyAlignment="1">
      <alignment/>
    </xf>
    <xf numFmtId="10" fontId="7" fillId="0" borderId="0" xfId="0" applyNumberFormat="1" applyFont="1" applyAlignment="1">
      <alignment/>
    </xf>
    <xf numFmtId="1" fontId="0" fillId="0" borderId="0" xfId="0" applyNumberFormat="1" applyFill="1" applyAlignment="1">
      <alignment/>
    </xf>
    <xf numFmtId="1" fontId="0" fillId="0" borderId="0" xfId="0" applyNumberFormat="1" applyFont="1" applyFill="1" applyAlignment="1">
      <alignment/>
    </xf>
    <xf numFmtId="9" fontId="7" fillId="0" borderId="0" xfId="0" applyNumberFormat="1" applyFont="1" applyAlignment="1">
      <alignment/>
    </xf>
    <xf numFmtId="4" fontId="7" fillId="0" borderId="0" xfId="0" applyNumberFormat="1" applyFont="1" applyAlignment="1">
      <alignment/>
    </xf>
    <xf numFmtId="0" fontId="7" fillId="0" borderId="0" xfId="0" applyFont="1" applyAlignment="1">
      <alignment/>
    </xf>
    <xf numFmtId="0" fontId="0" fillId="0" borderId="8" xfId="0" applyBorder="1" applyAlignment="1">
      <alignment/>
    </xf>
    <xf numFmtId="4" fontId="1" fillId="0" borderId="0" xfId="0" applyNumberFormat="1" applyFont="1" applyAlignment="1">
      <alignment/>
    </xf>
    <xf numFmtId="2" fontId="0" fillId="0" borderId="0" xfId="0" applyNumberFormat="1" applyAlignment="1">
      <alignment/>
    </xf>
    <xf numFmtId="0" fontId="8" fillId="0" borderId="0" xfId="0" applyFont="1" applyAlignment="1">
      <alignment/>
    </xf>
    <xf numFmtId="0" fontId="9" fillId="0" borderId="0" xfId="0" applyFont="1" applyAlignment="1">
      <alignment/>
    </xf>
    <xf numFmtId="8" fontId="9" fillId="0" borderId="0" xfId="0" applyNumberFormat="1" applyFont="1" applyAlignment="1">
      <alignment/>
    </xf>
    <xf numFmtId="0" fontId="7" fillId="0" borderId="9" xfId="0" applyFont="1" applyBorder="1" applyAlignment="1">
      <alignment/>
    </xf>
    <xf numFmtId="0" fontId="7" fillId="0" borderId="0" xfId="0" applyFont="1" applyBorder="1" applyAlignment="1">
      <alignment/>
    </xf>
    <xf numFmtId="10" fontId="7" fillId="0" borderId="9" xfId="0" applyNumberFormat="1" applyFont="1" applyBorder="1" applyAlignment="1">
      <alignment/>
    </xf>
    <xf numFmtId="9" fontId="7" fillId="0" borderId="0" xfId="0" applyNumberFormat="1" applyFont="1" applyBorder="1" applyAlignment="1">
      <alignment/>
    </xf>
    <xf numFmtId="172" fontId="7" fillId="0" borderId="0" xfId="0" applyNumberFormat="1" applyFont="1" applyAlignment="1">
      <alignment/>
    </xf>
    <xf numFmtId="0" fontId="10" fillId="0" borderId="0" xfId="0" applyFont="1" applyAlignment="1">
      <alignment/>
    </xf>
    <xf numFmtId="175" fontId="1" fillId="0" borderId="0" xfId="0" applyNumberFormat="1" applyFont="1" applyAlignment="1">
      <alignment/>
    </xf>
    <xf numFmtId="177"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RHG's radioactive value</a:t>
            </a:r>
          </a:p>
        </c:rich>
      </c:tx>
      <c:layout>
        <c:manualLayout>
          <c:xMode val="factor"/>
          <c:yMode val="factor"/>
          <c:x val="-0.00425"/>
          <c:y val="-0.01375"/>
        </c:manualLayout>
      </c:layout>
      <c:spPr>
        <a:noFill/>
        <a:ln>
          <a:noFill/>
        </a:ln>
      </c:spPr>
    </c:title>
    <c:plotArea>
      <c:layout>
        <c:manualLayout>
          <c:xMode val="edge"/>
          <c:yMode val="edge"/>
          <c:x val="0.01525"/>
          <c:y val="0.22975"/>
          <c:w val="0.96725"/>
          <c:h val="0.7425"/>
        </c:manualLayout>
      </c:layout>
      <c:barChart>
        <c:barDir val="col"/>
        <c:grouping val="stacked"/>
        <c:varyColors val="0"/>
        <c:ser>
          <c:idx val="0"/>
          <c:order val="0"/>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1F497D"/>
              </a:solidFill>
              <a:ln w="3175">
                <a:noFill/>
              </a:ln>
              <a:effectLst>
                <a:outerShdw dist="35921" dir="2700000" algn="br">
                  <a:prstClr val="black"/>
                </a:outerShdw>
              </a:effectLst>
            </c:spPr>
          </c:dPt>
          <c:cat>
            <c:strRef>
              <c:f>Chart!$C$1:$J$1</c:f>
              <c:strCache/>
            </c:strRef>
          </c:cat>
          <c:val>
            <c:numRef>
              <c:f>Chart!$C$2:$J$2</c:f>
              <c:numCache/>
            </c:numRef>
          </c:val>
        </c:ser>
        <c:ser>
          <c:idx val="1"/>
          <c:order val="1"/>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1F497D"/>
              </a:solidFill>
              <a:ln w="3175">
                <a:noFill/>
              </a:ln>
              <a:effectLst>
                <a:outerShdw dist="35921" dir="2700000" algn="br">
                  <a:prstClr val="black"/>
                </a:outerShdw>
              </a:effectLst>
            </c:spPr>
          </c:dPt>
          <c:cat>
            <c:strRef>
              <c:f>Chart!$C$1:$J$1</c:f>
              <c:strCache/>
            </c:strRef>
          </c:cat>
          <c:val>
            <c:numRef>
              <c:f>Chart!$C$3:$J$3</c:f>
              <c:numCache/>
            </c:numRef>
          </c:val>
        </c:ser>
        <c:ser>
          <c:idx val="2"/>
          <c:order val="2"/>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2"/>
            <c:invertIfNegative val="0"/>
            <c:spPr>
              <a:solidFill>
                <a:srgbClr val="1F497D"/>
              </a:solidFill>
              <a:ln w="3175">
                <a:noFill/>
              </a:ln>
              <a:effectLst>
                <a:outerShdw dist="35921" dir="2700000" algn="br">
                  <a:prstClr val="black"/>
                </a:outerShdw>
              </a:effectLst>
            </c:spPr>
          </c:dPt>
          <c:cat>
            <c:strRef>
              <c:f>Chart!$C$1:$J$1</c:f>
              <c:strCache/>
            </c:strRef>
          </c:cat>
          <c:val>
            <c:numRef>
              <c:f>Chart!$C$4:$J$4</c:f>
              <c:numCache/>
            </c:numRef>
          </c:val>
        </c:ser>
        <c:ser>
          <c:idx val="3"/>
          <c:order val="3"/>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1F497D"/>
              </a:solidFill>
              <a:ln w="3175">
                <a:noFill/>
              </a:ln>
              <a:effectLst>
                <a:outerShdw dist="35921" dir="2700000" algn="br">
                  <a:prstClr val="black"/>
                </a:outerShdw>
              </a:effectLst>
            </c:spPr>
          </c:dPt>
          <c:cat>
            <c:strRef>
              <c:f>Chart!$C$1:$J$1</c:f>
              <c:strCache/>
            </c:strRef>
          </c:cat>
          <c:val>
            <c:numRef>
              <c:f>Chart!$C$5:$J$5</c:f>
              <c:numCache/>
            </c:numRef>
          </c:val>
        </c:ser>
        <c:ser>
          <c:idx val="4"/>
          <c:order val="4"/>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1F497D"/>
              </a:solidFill>
              <a:ln w="3175">
                <a:noFill/>
              </a:ln>
              <a:effectLst>
                <a:outerShdw dist="35921" dir="2700000" algn="br">
                  <a:prstClr val="black"/>
                </a:outerShdw>
              </a:effectLst>
            </c:spPr>
          </c:dPt>
          <c:cat>
            <c:strRef>
              <c:f>Chart!$C$1:$J$1</c:f>
              <c:strCache/>
            </c:strRef>
          </c:cat>
          <c:val>
            <c:numRef>
              <c:f>Chart!$C$6:$J$6</c:f>
              <c:numCache/>
            </c:numRef>
          </c:val>
        </c:ser>
        <c:ser>
          <c:idx val="5"/>
          <c:order val="5"/>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1F497D"/>
              </a:solidFill>
              <a:ln w="3175">
                <a:noFill/>
              </a:ln>
              <a:effectLst>
                <a:outerShdw dist="35921" dir="2700000" algn="br">
                  <a:prstClr val="black"/>
                </a:outerShdw>
              </a:effectLst>
            </c:spPr>
          </c:dPt>
          <c:cat>
            <c:strRef>
              <c:f>Chart!$C$1:$J$1</c:f>
              <c:strCache/>
            </c:strRef>
          </c:cat>
          <c:val>
            <c:numRef>
              <c:f>Chart!$C$7:$J$7</c:f>
              <c:numCache/>
            </c:numRef>
          </c:val>
        </c:ser>
        <c:ser>
          <c:idx val="6"/>
          <c:order val="6"/>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1F497D"/>
              </a:solidFill>
              <a:ln w="3175">
                <a:noFill/>
              </a:ln>
              <a:effectLst>
                <a:outerShdw dist="35921" dir="2700000" algn="br">
                  <a:prstClr val="black"/>
                </a:outerShdw>
              </a:effectLst>
            </c:spPr>
          </c:dPt>
          <c:cat>
            <c:strRef>
              <c:f>Chart!$C$1:$J$1</c:f>
              <c:strCache/>
            </c:strRef>
          </c:cat>
          <c:val>
            <c:numRef>
              <c:f>Chart!$C$8:$J$8</c:f>
              <c:numCache/>
            </c:numRef>
          </c:val>
        </c:ser>
        <c:ser>
          <c:idx val="7"/>
          <c:order val="7"/>
          <c:spPr>
            <a:solidFill>
              <a:srgbClr val="FFFFF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7"/>
            <c:invertIfNegative val="0"/>
            <c:spPr>
              <a:solidFill>
                <a:srgbClr val="1F497D"/>
              </a:solidFill>
              <a:ln w="3175">
                <a:noFill/>
              </a:ln>
              <a:effectLst>
                <a:outerShdw dist="35921" dir="2700000" algn="br">
                  <a:prstClr val="black"/>
                </a:outerShdw>
              </a:effectLst>
            </c:spPr>
          </c:dPt>
          <c:cat>
            <c:strRef>
              <c:f>Chart!$C$1:$J$1</c:f>
              <c:strCache/>
            </c:strRef>
          </c:cat>
          <c:val>
            <c:numRef>
              <c:f>Chart!$C$9:$J$9</c:f>
              <c:numCache/>
            </c:numRef>
          </c:val>
        </c:ser>
        <c:overlap val="100"/>
        <c:axId val="59210390"/>
        <c:axId val="63131463"/>
      </c:barChart>
      <c:catAx>
        <c:axId val="59210390"/>
        <c:scaling>
          <c:orientation val="minMax"/>
        </c:scaling>
        <c:axPos val="b"/>
        <c:delete val="0"/>
        <c:numFmt formatCode="General" sourceLinked="1"/>
        <c:majorTickMark val="out"/>
        <c:minorTickMark val="none"/>
        <c:tickLblPos val="nextTo"/>
        <c:spPr>
          <a:ln w="3175">
            <a:solidFill>
              <a:srgbClr val="808080"/>
            </a:solidFill>
          </a:ln>
        </c:spPr>
        <c:crossAx val="63131463"/>
        <c:crosses val="autoZero"/>
        <c:auto val="1"/>
        <c:lblOffset val="100"/>
        <c:tickLblSkip val="1"/>
        <c:noMultiLvlLbl val="0"/>
      </c:catAx>
      <c:valAx>
        <c:axId val="6313146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2103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28575</xdr:rowOff>
    </xdr:from>
    <xdr:to>
      <xdr:col>6</xdr:col>
      <xdr:colOff>0</xdr:colOff>
      <xdr:row>29</xdr:row>
      <xdr:rowOff>0</xdr:rowOff>
    </xdr:to>
    <xdr:sp>
      <xdr:nvSpPr>
        <xdr:cNvPr id="1" name="TextBox 1"/>
        <xdr:cNvSpPr txBox="1">
          <a:spLocks noChangeArrowheads="1"/>
        </xdr:cNvSpPr>
      </xdr:nvSpPr>
      <xdr:spPr>
        <a:xfrm>
          <a:off x="352425" y="1847850"/>
          <a:ext cx="4572000" cy="3048000"/>
        </a:xfrm>
        <a:prstGeom prst="rect">
          <a:avLst/>
        </a:prstGeom>
        <a:solidFill>
          <a:srgbClr val="FFFFFF"/>
        </a:solidFill>
        <a:ln w="9525" cmpd="sng">
          <a:solidFill>
            <a:srgbClr val="BCBCBC"/>
          </a:solidFill>
          <a:headEnd type="none"/>
          <a:tailEnd type="none"/>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Disclaimer 
</a:t>
          </a:r>
          <a:r>
            <a:rPr lang="en-US" cap="none" sz="1100" b="0" i="0" u="none" baseline="0">
              <a:solidFill>
                <a:srgbClr val="000000"/>
              </a:solidFill>
              <a:latin typeface="Calibri"/>
              <a:ea typeface="Calibri"/>
              <a:cs typeface="Calibri"/>
            </a:rPr>
            <a:t>The information on this website has been prepared from a wide variety of sources, which The Intelligent Investor Publishing Pty Ltd, to the best of its knowledge and belief, considers accurate. You should make your own enquiries about the investments and we strongly suggest you seek advice before acting upon any recommendation.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Warning
</a:t>
          </a:r>
          <a:r>
            <a:rPr lang="en-US" cap="none" sz="1100" b="0" i="0" u="none" baseline="0">
              <a:solidFill>
                <a:srgbClr val="000000"/>
              </a:solidFill>
              <a:latin typeface="Calibri"/>
              <a:ea typeface="Calibri"/>
              <a:cs typeface="Calibri"/>
            </a:rPr>
            <a:t>The advice given by The Intelligent Investor and provided on our website is general information only, which means it does not take into account your investment objectives, financial situation or needs. You should therefore consider whether the advice is appropriate to your investment objectives, financial situation and needs before acting upon it, seeking advice from a financial adviser or stockbroker if necessary. Not all investments are appropriate for all people.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Intelligent Investor and associated websites are published by The Intelligent Investor Publishing Pty Ltd ABN 12 108 915 233 (Australian Financial Services Licence Number 282288).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1533525</xdr:colOff>
      <xdr:row>10</xdr:row>
      <xdr:rowOff>95250</xdr:rowOff>
    </xdr:from>
    <xdr:to>
      <xdr:col>8</xdr:col>
      <xdr:colOff>142875</xdr:colOff>
      <xdr:row>33</xdr:row>
      <xdr:rowOff>66675</xdr:rowOff>
    </xdr:to>
    <xdr:graphicFrame>
      <xdr:nvGraphicFramePr>
        <xdr:cNvPr id="1" name="Chart 2"/>
        <xdr:cNvGraphicFramePr/>
      </xdr:nvGraphicFramePr>
      <xdr:xfrm>
        <a:off x="2371725" y="1714500"/>
        <a:ext cx="5191125" cy="3695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2:B33"/>
  <sheetViews>
    <sheetView tabSelected="1" workbookViewId="0" topLeftCell="A1">
      <selection activeCell="B39" sqref="B39"/>
    </sheetView>
  </sheetViews>
  <sheetFormatPr defaultColWidth="11.00390625" defaultRowHeight="12.75"/>
  <cols>
    <col min="1" max="1" width="4.25390625" style="0" customWidth="1"/>
    <col min="2" max="2" width="16.375" style="0" bestFit="1" customWidth="1"/>
  </cols>
  <sheetData>
    <row r="2" ht="18">
      <c r="B2" s="25" t="s">
        <v>14</v>
      </c>
    </row>
    <row r="3" ht="18">
      <c r="B3" s="25" t="s">
        <v>30</v>
      </c>
    </row>
    <row r="4" ht="18">
      <c r="B4" s="25"/>
    </row>
    <row r="5" ht="12.75">
      <c r="B5" s="34" t="s">
        <v>15</v>
      </c>
    </row>
    <row r="7" ht="12.75">
      <c r="B7" s="33" t="s">
        <v>9</v>
      </c>
    </row>
    <row r="8" ht="12.75">
      <c r="B8" s="3" t="s">
        <v>10</v>
      </c>
    </row>
    <row r="30" ht="12.75">
      <c r="B30" s="3" t="s">
        <v>7</v>
      </c>
    </row>
    <row r="31" ht="12.75">
      <c r="B31" s="3" t="s">
        <v>8</v>
      </c>
    </row>
    <row r="33" ht="12.75">
      <c r="B33" s="3" t="s">
        <v>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B2:E50"/>
  <sheetViews>
    <sheetView zoomScale="125" zoomScaleNormal="125" workbookViewId="0" topLeftCell="A1">
      <selection activeCell="A10" sqref="A10"/>
    </sheetView>
  </sheetViews>
  <sheetFormatPr defaultColWidth="11.00390625" defaultRowHeight="12.75"/>
  <cols>
    <col min="1" max="1" width="3.375" style="0" customWidth="1"/>
    <col min="2" max="2" width="31.125" style="0" customWidth="1"/>
    <col min="3" max="3" width="15.00390625" style="0" customWidth="1"/>
    <col min="4" max="4" width="24.75390625" style="0" customWidth="1"/>
  </cols>
  <sheetData>
    <row r="2" ht="18">
      <c r="B2" s="25" t="s">
        <v>85</v>
      </c>
    </row>
    <row r="4" ht="12.75">
      <c r="B4" s="3" t="s">
        <v>1</v>
      </c>
    </row>
    <row r="5" spans="2:4" ht="12.75">
      <c r="B5" t="s">
        <v>31</v>
      </c>
      <c r="C5" t="s">
        <v>32</v>
      </c>
      <c r="D5" s="15">
        <f>C32</f>
        <v>9030</v>
      </c>
    </row>
    <row r="6" spans="2:4" ht="12.75">
      <c r="B6" t="s">
        <v>65</v>
      </c>
      <c r="C6" s="1" t="s">
        <v>40</v>
      </c>
      <c r="D6" s="16">
        <v>0.0324</v>
      </c>
    </row>
    <row r="7" spans="2:4" ht="12.75">
      <c r="B7" t="s">
        <v>33</v>
      </c>
      <c r="C7" t="s">
        <v>39</v>
      </c>
      <c r="D7" s="17">
        <f>+(D27-D6)*10000</f>
        <v>386.38999999999993</v>
      </c>
    </row>
    <row r="8" spans="2:4" ht="12.75">
      <c r="B8" t="s">
        <v>34</v>
      </c>
      <c r="C8" t="s">
        <v>39</v>
      </c>
      <c r="D8" s="18">
        <f>+D32</f>
        <v>171.1627906976744</v>
      </c>
    </row>
    <row r="9" spans="2:4" ht="12.75">
      <c r="B9" t="s">
        <v>35</v>
      </c>
      <c r="C9" s="1" t="s">
        <v>16</v>
      </c>
      <c r="D9" s="19">
        <v>0.38</v>
      </c>
    </row>
    <row r="10" spans="2:5" ht="12.75">
      <c r="B10" t="s">
        <v>36</v>
      </c>
      <c r="C10" s="1" t="s">
        <v>40</v>
      </c>
      <c r="D10" s="32">
        <v>0.008</v>
      </c>
      <c r="E10" s="35"/>
    </row>
    <row r="11" spans="3:4" ht="12.75">
      <c r="C11" s="1"/>
      <c r="D11" s="19"/>
    </row>
    <row r="12" spans="2:4" ht="12.75">
      <c r="B12" s="3" t="s">
        <v>38</v>
      </c>
      <c r="C12" s="1"/>
      <c r="D12" s="19"/>
    </row>
    <row r="13" spans="2:4" ht="12.75">
      <c r="B13" t="s">
        <v>37</v>
      </c>
      <c r="C13" t="s">
        <v>29</v>
      </c>
      <c r="D13" s="20">
        <f>6.596*2</f>
        <v>13.192</v>
      </c>
    </row>
    <row r="14" spans="2:4" ht="12.75">
      <c r="B14" t="s">
        <v>5</v>
      </c>
      <c r="C14" t="s">
        <v>29</v>
      </c>
      <c r="D14" s="21">
        <f>(7.5-1.242-2.063)*2</f>
        <v>8.39</v>
      </c>
    </row>
    <row r="15" ht="12.75">
      <c r="D15" s="21"/>
    </row>
    <row r="16" spans="2:4" ht="12.75">
      <c r="B16" s="3" t="s">
        <v>2</v>
      </c>
      <c r="D16" s="21"/>
    </row>
    <row r="17" spans="2:4" ht="12.75">
      <c r="B17" t="s">
        <v>51</v>
      </c>
      <c r="C17" t="s">
        <v>40</v>
      </c>
      <c r="D17" s="19">
        <v>0.3</v>
      </c>
    </row>
    <row r="18" spans="2:4" ht="12.75">
      <c r="B18" t="s">
        <v>53</v>
      </c>
      <c r="C18" t="s">
        <v>40</v>
      </c>
      <c r="D18" s="19">
        <v>0.1</v>
      </c>
    </row>
    <row r="19" spans="2:4" ht="12.75">
      <c r="B19" t="s">
        <v>41</v>
      </c>
      <c r="C19" t="s">
        <v>42</v>
      </c>
      <c r="D19" s="21">
        <v>330</v>
      </c>
    </row>
    <row r="22" spans="2:4" ht="12.75">
      <c r="B22" s="4" t="s">
        <v>3</v>
      </c>
      <c r="C22" s="5" t="s">
        <v>63</v>
      </c>
      <c r="D22" s="6" t="s">
        <v>64</v>
      </c>
    </row>
    <row r="23" spans="2:4" ht="12.75">
      <c r="B23" s="7" t="s">
        <v>57</v>
      </c>
      <c r="C23" s="31">
        <v>0.09</v>
      </c>
      <c r="D23" s="30">
        <v>0.0597</v>
      </c>
    </row>
    <row r="24" spans="2:4" ht="12.75">
      <c r="B24" s="7" t="s">
        <v>58</v>
      </c>
      <c r="C24" s="31">
        <v>0.31</v>
      </c>
      <c r="D24" s="30">
        <v>0.0622</v>
      </c>
    </row>
    <row r="25" spans="2:4" ht="12.75">
      <c r="B25" s="7" t="s">
        <v>59</v>
      </c>
      <c r="C25" s="31">
        <v>0.44</v>
      </c>
      <c r="D25" s="30">
        <v>0.0796</v>
      </c>
    </row>
    <row r="26" spans="2:4" ht="12.75">
      <c r="B26" s="7" t="s">
        <v>60</v>
      </c>
      <c r="C26" s="31">
        <v>0.16</v>
      </c>
      <c r="D26" s="30">
        <v>0.071</v>
      </c>
    </row>
    <row r="27" spans="2:5" ht="12.75">
      <c r="B27" s="8" t="s">
        <v>61</v>
      </c>
      <c r="C27" s="9" t="s">
        <v>62</v>
      </c>
      <c r="D27" s="10">
        <f>SUMPRODUCT(C23:C26,D23:D26)</f>
        <v>0.07103899999999999</v>
      </c>
      <c r="E27" s="16"/>
    </row>
    <row r="29" spans="2:4" ht="12.75">
      <c r="B29" s="4" t="s">
        <v>66</v>
      </c>
      <c r="C29" s="5" t="s">
        <v>69</v>
      </c>
      <c r="D29" s="6" t="s">
        <v>70</v>
      </c>
    </row>
    <row r="30" spans="2:4" ht="12.75">
      <c r="B30" s="7" t="s">
        <v>67</v>
      </c>
      <c r="C30" s="29">
        <f>350+1540+1260</f>
        <v>3150</v>
      </c>
      <c r="D30" s="28">
        <v>80</v>
      </c>
    </row>
    <row r="31" spans="2:4" ht="12.75">
      <c r="B31" s="7" t="s">
        <v>68</v>
      </c>
      <c r="C31" s="29">
        <f>750+5130</f>
        <v>5880</v>
      </c>
      <c r="D31" s="28">
        <v>220</v>
      </c>
    </row>
    <row r="32" spans="2:4" ht="12.75">
      <c r="B32" s="11" t="s">
        <v>61</v>
      </c>
      <c r="C32" s="12">
        <f>SUM(C30:C31)</f>
        <v>9030</v>
      </c>
      <c r="D32" s="13">
        <f>C30/(C30+C31)*D30+C31/(C30+C31)*D31</f>
        <v>171.1627906976744</v>
      </c>
    </row>
    <row r="34" spans="2:4" ht="12.75">
      <c r="B34" t="s">
        <v>82</v>
      </c>
      <c r="D34" s="2">
        <f>+Worksheet!D29</f>
        <v>0.9583211613442493</v>
      </c>
    </row>
    <row r="35" spans="2:4" ht="12.75">
      <c r="B35" t="s">
        <v>0</v>
      </c>
      <c r="D35" s="2">
        <f>+D44</f>
        <v>0.5036209090909092</v>
      </c>
    </row>
    <row r="36" ht="12.75">
      <c r="D36" s="2"/>
    </row>
    <row r="37" spans="2:4" ht="15.75">
      <c r="B37" s="26" t="s">
        <v>83</v>
      </c>
      <c r="C37" s="26"/>
      <c r="D37" s="27">
        <f>+D34+D35</f>
        <v>1.4619420704351584</v>
      </c>
    </row>
    <row r="39" spans="2:4" ht="12.75">
      <c r="B39" t="s">
        <v>12</v>
      </c>
      <c r="D39" s="21">
        <v>181.604</v>
      </c>
    </row>
    <row r="40" spans="2:4" ht="12.75">
      <c r="B40" t="s">
        <v>77</v>
      </c>
      <c r="D40" s="21">
        <f>48.141*0.7</f>
        <v>33.698699999999995</v>
      </c>
    </row>
    <row r="41" spans="2:4" ht="12.75">
      <c r="B41" t="s">
        <v>13</v>
      </c>
      <c r="D41" s="21">
        <f>26.128*0.7</f>
        <v>18.2896</v>
      </c>
    </row>
    <row r="42" spans="2:4" ht="12.75">
      <c r="B42" t="s">
        <v>75</v>
      </c>
      <c r="D42">
        <f>+D39-D40</f>
        <v>147.9053</v>
      </c>
    </row>
    <row r="44" spans="2:4" ht="12.75">
      <c r="B44" t="s">
        <v>78</v>
      </c>
      <c r="D44" s="24">
        <f>+(D42+D41)/D19</f>
        <v>0.5036209090909092</v>
      </c>
    </row>
    <row r="45" spans="2:4" ht="12.75">
      <c r="B45" t="s">
        <v>76</v>
      </c>
      <c r="D45" s="24">
        <f>+D42/D19</f>
        <v>0.4481978787878788</v>
      </c>
    </row>
    <row r="47" spans="2:4" ht="12.75">
      <c r="B47" t="s">
        <v>79</v>
      </c>
      <c r="D47" s="21">
        <v>0</v>
      </c>
    </row>
    <row r="48" spans="2:4" ht="12.75">
      <c r="B48" t="s">
        <v>80</v>
      </c>
      <c r="D48" s="21">
        <v>0</v>
      </c>
    </row>
    <row r="50" spans="2:4" ht="12.75">
      <c r="B50" t="s">
        <v>81</v>
      </c>
      <c r="D50" s="24">
        <f>+(D42-D47)/(D19-D48)</f>
        <v>0.4481978787878788</v>
      </c>
    </row>
  </sheetData>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B2:J31"/>
  <sheetViews>
    <sheetView zoomScale="125" zoomScaleNormal="125" workbookViewId="0" topLeftCell="A1">
      <selection activeCell="D25" sqref="D25"/>
    </sheetView>
  </sheetViews>
  <sheetFormatPr defaultColWidth="11.00390625" defaultRowHeight="12.75"/>
  <cols>
    <col min="1" max="1" width="3.00390625" style="0" customWidth="1"/>
    <col min="2" max="2" width="23.875" style="0" customWidth="1"/>
    <col min="4" max="4" width="12.625" style="0" bestFit="1" customWidth="1"/>
    <col min="6" max="6" width="12.00390625" style="0" customWidth="1"/>
    <col min="7" max="7" width="10.375" style="0" customWidth="1"/>
    <col min="8" max="8" width="9.875" style="0" customWidth="1"/>
  </cols>
  <sheetData>
    <row r="2" ht="18">
      <c r="B2" s="25" t="s">
        <v>86</v>
      </c>
    </row>
    <row r="4" spans="2:10" s="22" customFormat="1" ht="12.75">
      <c r="B4" s="22" t="s">
        <v>11</v>
      </c>
      <c r="D4" s="22">
        <v>2009</v>
      </c>
      <c r="E4" s="22">
        <f>+D4+1</f>
        <v>2010</v>
      </c>
      <c r="F4" s="22">
        <f>E4+1</f>
        <v>2011</v>
      </c>
      <c r="G4" s="22">
        <f>F4+1</f>
        <v>2012</v>
      </c>
      <c r="H4" s="22">
        <f>G4+1</f>
        <v>2013</v>
      </c>
      <c r="I4" s="22">
        <f>H4+1</f>
        <v>2014</v>
      </c>
      <c r="J4" s="22">
        <f>I4+1</f>
        <v>2015</v>
      </c>
    </row>
    <row r="6" ht="12.75">
      <c r="B6" s="3" t="s">
        <v>84</v>
      </c>
    </row>
    <row r="7" spans="2:10" ht="12.75">
      <c r="B7" t="s">
        <v>44</v>
      </c>
      <c r="C7" t="s">
        <v>32</v>
      </c>
      <c r="D7" s="14">
        <f>Assumptions!D5</f>
        <v>9030</v>
      </c>
      <c r="E7" s="14">
        <f aca="true" t="shared" si="0" ref="E7:J7">D9</f>
        <v>5598.6</v>
      </c>
      <c r="F7" s="14">
        <f t="shared" si="0"/>
        <v>3471.132</v>
      </c>
      <c r="G7" s="14">
        <f t="shared" si="0"/>
        <v>2152.1018400000003</v>
      </c>
      <c r="H7" s="14">
        <f t="shared" si="0"/>
        <v>1334.3031408000002</v>
      </c>
      <c r="I7" s="14">
        <f t="shared" si="0"/>
        <v>827.2679472960001</v>
      </c>
      <c r="J7" s="14">
        <f t="shared" si="0"/>
        <v>512.9061273235201</v>
      </c>
    </row>
    <row r="8" spans="2:10" ht="12.75">
      <c r="B8" t="s">
        <v>45</v>
      </c>
      <c r="C8" t="s">
        <v>32</v>
      </c>
      <c r="D8" s="14">
        <f>-D7*Assumptions!$D$9</f>
        <v>-3431.4</v>
      </c>
      <c r="E8" s="14">
        <f>-E7*Assumptions!$D$9</f>
        <v>-2127.4680000000003</v>
      </c>
      <c r="F8" s="14">
        <f>-F7*Assumptions!$D$9</f>
        <v>-1319.03016</v>
      </c>
      <c r="G8" s="14">
        <f>-G7*Assumptions!$D$9</f>
        <v>-817.7986992000001</v>
      </c>
      <c r="H8" s="14">
        <f>-H7*Assumptions!$D$9</f>
        <v>-507.03519350400006</v>
      </c>
      <c r="I8" s="14">
        <f>-I7*Assumptions!$D$9</f>
        <v>-314.36181997248</v>
      </c>
      <c r="J8" s="14">
        <f>-J7*Assumptions!$D$9</f>
        <v>-194.90432838293762</v>
      </c>
    </row>
    <row r="9" spans="2:10" ht="12.75">
      <c r="B9" t="s">
        <v>46</v>
      </c>
      <c r="C9" t="s">
        <v>32</v>
      </c>
      <c r="D9" s="14">
        <f aca="true" t="shared" si="1" ref="D9:J9">D7+D8</f>
        <v>5598.6</v>
      </c>
      <c r="E9" s="14">
        <f t="shared" si="1"/>
        <v>3471.132</v>
      </c>
      <c r="F9" s="14">
        <f t="shared" si="1"/>
        <v>2152.1018400000003</v>
      </c>
      <c r="G9" s="14">
        <f t="shared" si="1"/>
        <v>1334.3031408000002</v>
      </c>
      <c r="H9" s="14">
        <f t="shared" si="1"/>
        <v>827.2679472960001</v>
      </c>
      <c r="I9" s="14">
        <f t="shared" si="1"/>
        <v>512.9061273235201</v>
      </c>
      <c r="J9" s="14">
        <f t="shared" si="1"/>
        <v>318.0017989405825</v>
      </c>
    </row>
    <row r="10" spans="2:10" ht="12.75">
      <c r="B10" t="s">
        <v>47</v>
      </c>
      <c r="C10" t="s">
        <v>32</v>
      </c>
      <c r="D10" s="14">
        <f aca="true" t="shared" si="2" ref="D10:J10">(D7+D9)/2</f>
        <v>7314.3</v>
      </c>
      <c r="E10" s="14">
        <f t="shared" si="2"/>
        <v>4534.866</v>
      </c>
      <c r="F10" s="14">
        <f t="shared" si="2"/>
        <v>2811.6169200000004</v>
      </c>
      <c r="G10" s="14">
        <f t="shared" si="2"/>
        <v>1743.2024904000002</v>
      </c>
      <c r="H10" s="14">
        <f t="shared" si="2"/>
        <v>1080.7855440480002</v>
      </c>
      <c r="I10" s="14">
        <f t="shared" si="2"/>
        <v>670.08703730976</v>
      </c>
      <c r="J10" s="14">
        <f t="shared" si="2"/>
        <v>415.4539631320513</v>
      </c>
    </row>
    <row r="11" spans="2:10" ht="12.75">
      <c r="B11" t="s">
        <v>43</v>
      </c>
      <c r="C11" t="s">
        <v>32</v>
      </c>
      <c r="D11" s="14">
        <f>D10*(Assumptions!$D$7-Assumptions!$D$8)/10000</f>
        <v>157.42363769999997</v>
      </c>
      <c r="E11" s="14">
        <f>E10*(Assumptions!$D$7-Assumptions!$D$8)/10000</f>
        <v>97.60265537399998</v>
      </c>
      <c r="F11" s="14">
        <f>F10*(Assumptions!$D$7-Assumptions!$D$8)/10000</f>
        <v>60.51364633187998</v>
      </c>
      <c r="G11" s="14">
        <f>G10*(Assumptions!$D$7-Assumptions!$D$8)/10000</f>
        <v>37.51846072576559</v>
      </c>
      <c r="H11" s="14">
        <f>H10*(Assumptions!$D$7-Assumptions!$D$8)/10000</f>
        <v>23.26144564997467</v>
      </c>
      <c r="I11" s="14">
        <f>I10*(Assumptions!$D$7-Assumptions!$D$8)/10000</f>
        <v>14.422096302984293</v>
      </c>
      <c r="J11" s="14">
        <f>J10*(Assumptions!$D$7-Assumptions!$D$8)/10000</f>
        <v>8.941699707850264</v>
      </c>
    </row>
    <row r="12" spans="2:10" ht="12.75">
      <c r="B12" t="s">
        <v>36</v>
      </c>
      <c r="C12" t="s">
        <v>32</v>
      </c>
      <c r="D12" s="14">
        <f>-D8*Assumptions!$D$10</f>
        <v>27.4512</v>
      </c>
      <c r="E12" s="14">
        <f>-E8*Assumptions!$D$10</f>
        <v>17.019744000000003</v>
      </c>
      <c r="F12" s="14"/>
      <c r="G12" s="14"/>
      <c r="H12" s="14"/>
      <c r="I12" s="14"/>
      <c r="J12" s="14"/>
    </row>
    <row r="13" spans="2:10" s="3" customFormat="1" ht="12.75">
      <c r="B13" s="3" t="s">
        <v>71</v>
      </c>
      <c r="C13" t="s">
        <v>32</v>
      </c>
      <c r="D13" s="23">
        <f>+D11+D12</f>
        <v>184.87483769999997</v>
      </c>
      <c r="E13" s="23">
        <f aca="true" t="shared" si="3" ref="E13:J13">+E11+E12</f>
        <v>114.62239937399998</v>
      </c>
      <c r="F13" s="23">
        <f t="shared" si="3"/>
        <v>60.51364633187998</v>
      </c>
      <c r="G13" s="23">
        <f t="shared" si="3"/>
        <v>37.51846072576559</v>
      </c>
      <c r="H13" s="23">
        <f t="shared" si="3"/>
        <v>23.26144564997467</v>
      </c>
      <c r="I13" s="23">
        <f t="shared" si="3"/>
        <v>14.422096302984293</v>
      </c>
      <c r="J13" s="23">
        <f t="shared" si="3"/>
        <v>8.941699707850264</v>
      </c>
    </row>
    <row r="14" spans="4:10" ht="12.75">
      <c r="D14" s="14"/>
      <c r="E14" s="14"/>
      <c r="F14" s="14"/>
      <c r="G14" s="14"/>
      <c r="H14" s="14"/>
      <c r="I14" s="14"/>
      <c r="J14" s="14"/>
    </row>
    <row r="15" spans="2:10" ht="12.75">
      <c r="B15" s="3" t="s">
        <v>38</v>
      </c>
      <c r="D15" s="14"/>
      <c r="E15" s="14"/>
      <c r="F15" s="14"/>
      <c r="G15" s="14"/>
      <c r="H15" s="14"/>
      <c r="I15" s="14"/>
      <c r="J15" s="14"/>
    </row>
    <row r="16" spans="2:10" ht="12.75">
      <c r="B16" t="s">
        <v>37</v>
      </c>
      <c r="C16" t="s">
        <v>32</v>
      </c>
      <c r="D16" s="14">
        <f>Assumptions!$D$13*(1-Assumptions!$D$9)</f>
        <v>8.17904</v>
      </c>
      <c r="E16" s="14">
        <f>+D16*(1-Assumptions!$D$9)</f>
        <v>5.0710048</v>
      </c>
      <c r="F16" s="14">
        <f>+E16*(1-Assumptions!$D$9)</f>
        <v>3.144022976</v>
      </c>
      <c r="G16" s="14">
        <f>+F16*(1-Assumptions!$D$9)</f>
        <v>1.94929424512</v>
      </c>
      <c r="H16" s="14">
        <f>+G16*(1-Assumptions!$D$9)</f>
        <v>1.2085624319744</v>
      </c>
      <c r="I16" s="14">
        <f>+H16*(1-Assumptions!$D$9)</f>
        <v>0.749308707824128</v>
      </c>
      <c r="J16" s="14">
        <f>+I16*(1-Assumptions!$D$9)</f>
        <v>0.4645713988509593</v>
      </c>
    </row>
    <row r="17" spans="2:10" ht="12.75">
      <c r="B17" t="s">
        <v>73</v>
      </c>
      <c r="C17" t="s">
        <v>32</v>
      </c>
      <c r="D17" s="14">
        <f>Assumptions!$D$14</f>
        <v>8.39</v>
      </c>
      <c r="E17" s="14">
        <f aca="true" t="shared" si="4" ref="E17:J17">D17-1</f>
        <v>7.390000000000001</v>
      </c>
      <c r="F17" s="14">
        <f t="shared" si="4"/>
        <v>6.390000000000001</v>
      </c>
      <c r="G17" s="14">
        <f t="shared" si="4"/>
        <v>5.390000000000001</v>
      </c>
      <c r="H17" s="14">
        <f t="shared" si="4"/>
        <v>4.390000000000001</v>
      </c>
      <c r="I17" s="14">
        <f t="shared" si="4"/>
        <v>3.3900000000000006</v>
      </c>
      <c r="J17" s="14">
        <f t="shared" si="4"/>
        <v>2.3900000000000006</v>
      </c>
    </row>
    <row r="18" spans="2:10" ht="12.75">
      <c r="B18" s="3" t="s">
        <v>72</v>
      </c>
      <c r="C18" t="s">
        <v>32</v>
      </c>
      <c r="D18" s="23">
        <f>+D16+D17</f>
        <v>16.56904</v>
      </c>
      <c r="E18" s="23">
        <f aca="true" t="shared" si="5" ref="E18:J18">+E16+E17</f>
        <v>12.461004800000001</v>
      </c>
      <c r="F18" s="23">
        <f t="shared" si="5"/>
        <v>9.534022976000001</v>
      </c>
      <c r="G18" s="23">
        <f t="shared" si="5"/>
        <v>7.3392942451200005</v>
      </c>
      <c r="H18" s="23">
        <f t="shared" si="5"/>
        <v>5.5985624319744005</v>
      </c>
      <c r="I18" s="23">
        <f t="shared" si="5"/>
        <v>4.139308707824129</v>
      </c>
      <c r="J18" s="23">
        <f t="shared" si="5"/>
        <v>2.85457139885096</v>
      </c>
    </row>
    <row r="20" spans="2:10" ht="12.75">
      <c r="B20" t="s">
        <v>48</v>
      </c>
      <c r="C20" t="s">
        <v>32</v>
      </c>
      <c r="D20" s="14">
        <f aca="true" t="shared" si="6" ref="D20:J20">D11+D12-D16-D17</f>
        <v>168.30579769999997</v>
      </c>
      <c r="E20" s="14">
        <f t="shared" si="6"/>
        <v>102.16139457399998</v>
      </c>
      <c r="F20" s="14">
        <f t="shared" si="6"/>
        <v>50.97962335587998</v>
      </c>
      <c r="G20" s="14">
        <f t="shared" si="6"/>
        <v>30.17916648064559</v>
      </c>
      <c r="H20" s="14">
        <f t="shared" si="6"/>
        <v>17.66288321800027</v>
      </c>
      <c r="I20" s="14">
        <f t="shared" si="6"/>
        <v>10.282787595160165</v>
      </c>
      <c r="J20" s="14">
        <f t="shared" si="6"/>
        <v>6.087128308999304</v>
      </c>
    </row>
    <row r="21" spans="2:10" ht="12.75">
      <c r="B21" t="s">
        <v>49</v>
      </c>
      <c r="C21" t="s">
        <v>32</v>
      </c>
      <c r="D21" s="14">
        <f>D20*Assumptions!$D$17</f>
        <v>50.49173930999999</v>
      </c>
      <c r="E21" s="14">
        <f>E20*Assumptions!$D$17</f>
        <v>30.648418372199995</v>
      </c>
      <c r="F21" s="14">
        <f>F20*Assumptions!$D$17</f>
        <v>15.293887006763994</v>
      </c>
      <c r="G21" s="14">
        <f>G20*Assumptions!$D$17</f>
        <v>9.053749944193678</v>
      </c>
      <c r="H21" s="14">
        <f>H20*Assumptions!$D$17</f>
        <v>5.298864965400081</v>
      </c>
      <c r="I21" s="14">
        <f>I20*Assumptions!$D$17</f>
        <v>3.0848362785480496</v>
      </c>
      <c r="J21" s="14">
        <f>J20*Assumptions!$D$17</f>
        <v>1.8261384926997912</v>
      </c>
    </row>
    <row r="22" spans="2:10" ht="12.75">
      <c r="B22" s="3" t="s">
        <v>50</v>
      </c>
      <c r="C22" t="s">
        <v>32</v>
      </c>
      <c r="D22" s="23">
        <f aca="true" t="shared" si="7" ref="D22:J22">D20-D21</f>
        <v>117.81405838999999</v>
      </c>
      <c r="E22" s="23">
        <f t="shared" si="7"/>
        <v>71.51297620179999</v>
      </c>
      <c r="F22" s="23">
        <f t="shared" si="7"/>
        <v>35.685736349115984</v>
      </c>
      <c r="G22" s="23">
        <f t="shared" si="7"/>
        <v>21.125416536451915</v>
      </c>
      <c r="H22" s="23">
        <f t="shared" si="7"/>
        <v>12.36401825260019</v>
      </c>
      <c r="I22" s="23">
        <f t="shared" si="7"/>
        <v>7.197951316612116</v>
      </c>
      <c r="J22" s="23">
        <f t="shared" si="7"/>
        <v>4.260989816299513</v>
      </c>
    </row>
    <row r="24" spans="2:10" ht="12.75">
      <c r="B24" t="s">
        <v>52</v>
      </c>
      <c r="C24" t="s">
        <v>4</v>
      </c>
      <c r="D24" s="24">
        <f>D22/Assumptions!$D$19</f>
        <v>0.3570122981515151</v>
      </c>
      <c r="E24" s="24">
        <f>E22/Assumptions!$D$19</f>
        <v>0.21670598849030298</v>
      </c>
      <c r="F24" s="24">
        <f>F22/Assumptions!$D$19</f>
        <v>0.10813859499732116</v>
      </c>
      <c r="G24" s="24">
        <f>G22/Assumptions!$D$19</f>
        <v>0.06401641374682399</v>
      </c>
      <c r="H24" s="24">
        <f>H22/Assumptions!$D$19</f>
        <v>0.037466721977576334</v>
      </c>
      <c r="I24" s="24">
        <f>I22/Assumptions!$D$19</f>
        <v>0.02181197368670338</v>
      </c>
      <c r="J24" s="24">
        <f>J22/Assumptions!$D$19</f>
        <v>0.012912090352422766</v>
      </c>
    </row>
    <row r="25" spans="2:10" ht="12.75">
      <c r="B25" t="s">
        <v>56</v>
      </c>
      <c r="C25" t="s">
        <v>4</v>
      </c>
      <c r="D25" s="24">
        <f>D20/(Assumptions!$D$19-Assumptions!$D$48)</f>
        <v>0.5100175687878787</v>
      </c>
      <c r="E25" s="24">
        <f>E20/(Assumptions!$D$19-Assumptions!$D$48)</f>
        <v>0.3095799835575757</v>
      </c>
      <c r="F25" s="24">
        <f>F20/(Assumptions!$D$19-Assumptions!$D$48)</f>
        <v>0.15448370713903023</v>
      </c>
      <c r="G25" s="24">
        <f>G20/(Assumptions!$D$19-Assumptions!$D$48)</f>
        <v>0.09145201963831998</v>
      </c>
      <c r="H25" s="24">
        <f>H20/(Assumptions!$D$19-Assumptions!$D$48)</f>
        <v>0.053523888539394764</v>
      </c>
      <c r="I25" s="24">
        <f>I20/(Assumptions!$D$19-Assumptions!$D$48)</f>
        <v>0.031159962409576258</v>
      </c>
      <c r="J25" s="24">
        <f>J20/(Assumptions!$D$19-Assumptions!$D$48)</f>
        <v>0.018445843360603953</v>
      </c>
    </row>
    <row r="26" spans="2:10" ht="12.75">
      <c r="B26" t="s">
        <v>25</v>
      </c>
      <c r="C26" t="s">
        <v>26</v>
      </c>
      <c r="D26" s="24">
        <f>D25/(1+Assumptions!$D$18)^(Worksheet!D4-2008)</f>
        <v>0.4636523352617079</v>
      </c>
      <c r="E26" s="24">
        <f>E25/(1+Assumptions!$D$18)^(Worksheet!E4-2008)</f>
        <v>0.25585122608064104</v>
      </c>
      <c r="F26" s="24">
        <f>F25/(1+Assumptions!$D$18)^(Worksheet!F4-2008)</f>
        <v>0.1160658956716981</v>
      </c>
      <c r="G26" s="24">
        <f>G25/(1+Assumptions!$D$18)^(Worksheet!G4-2008)</f>
        <v>0.06246295993328321</v>
      </c>
      <c r="H26" s="24">
        <f>H25/(1+Assumptions!$D$18)^(Worksheet!H4-2008)</f>
        <v>0.033234123687151736</v>
      </c>
      <c r="I26" s="24">
        <f>I25/(1+Assumptions!$D$18)^(Worksheet!I4-2008)</f>
        <v>0.017588986441661476</v>
      </c>
      <c r="J26" s="24">
        <f>J25/(1+Assumptions!$D$18)^(Worksheet!J4-2008)</f>
        <v>0.009465634268105894</v>
      </c>
    </row>
    <row r="28" spans="2:6" ht="12.75">
      <c r="B28" t="s">
        <v>54</v>
      </c>
      <c r="C28" t="s">
        <v>32</v>
      </c>
      <c r="D28" s="2">
        <f>NPV(Assumptions!$D$18,D20:M20)</f>
        <v>316.24598324360227</v>
      </c>
      <c r="F28" s="2"/>
    </row>
    <row r="29" spans="2:4" ht="12.75">
      <c r="B29" t="s">
        <v>55</v>
      </c>
      <c r="C29" t="s">
        <v>4</v>
      </c>
      <c r="D29" s="2">
        <f>D28/(Assumptions!D19-Assumptions!D48)</f>
        <v>0.9583211613442493</v>
      </c>
    </row>
    <row r="31" spans="2:4" ht="12.75">
      <c r="B31" t="s">
        <v>74</v>
      </c>
      <c r="C31" t="s">
        <v>4</v>
      </c>
      <c r="D31" s="2">
        <f>NPV(0.1,D25:J25)-D30</f>
        <v>0.9583211613442494</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J9"/>
  <sheetViews>
    <sheetView workbookViewId="0" topLeftCell="A1">
      <selection activeCell="J2" sqref="J2"/>
    </sheetView>
  </sheetViews>
  <sheetFormatPr defaultColWidth="11.00390625" defaultRowHeight="12.75"/>
  <cols>
    <col min="2" max="2" width="20.375" style="0" customWidth="1"/>
  </cols>
  <sheetData>
    <row r="1" spans="3:10" ht="12.75">
      <c r="C1" t="s">
        <v>27</v>
      </c>
      <c r="D1">
        <v>2009</v>
      </c>
      <c r="E1">
        <v>2010</v>
      </c>
      <c r="F1">
        <v>2011</v>
      </c>
      <c r="G1">
        <v>2012</v>
      </c>
      <c r="H1">
        <v>2013</v>
      </c>
      <c r="I1">
        <v>2014</v>
      </c>
      <c r="J1" t="s">
        <v>28</v>
      </c>
    </row>
    <row r="2" spans="2:10" ht="12.75">
      <c r="B2" t="s">
        <v>17</v>
      </c>
      <c r="C2" s="2">
        <f>Assumptions!$D$35</f>
        <v>0.5036209090909092</v>
      </c>
      <c r="D2" s="2">
        <f>Assumptions!$D$35</f>
        <v>0.5036209090909092</v>
      </c>
      <c r="E2" s="2">
        <f>Assumptions!$D$35</f>
        <v>0.5036209090909092</v>
      </c>
      <c r="F2" s="2">
        <f>Assumptions!$D$35</f>
        <v>0.5036209090909092</v>
      </c>
      <c r="G2" s="2">
        <f>Assumptions!$D$35</f>
        <v>0.5036209090909092</v>
      </c>
      <c r="H2" s="2">
        <f>Assumptions!$D$35</f>
        <v>0.5036209090909092</v>
      </c>
      <c r="I2" s="2">
        <f>Assumptions!$D$35</f>
        <v>0.5036209090909092</v>
      </c>
      <c r="J2" s="2">
        <v>0</v>
      </c>
    </row>
    <row r="3" spans="2:10" ht="12.75">
      <c r="B3" t="s">
        <v>18</v>
      </c>
      <c r="C3" s="24">
        <f>Worksheet!$D$26</f>
        <v>0.4636523352617079</v>
      </c>
      <c r="D3" s="24">
        <f>Worksheet!$D$26</f>
        <v>0.4636523352617079</v>
      </c>
      <c r="E3" s="24">
        <f>Worksheet!$D$26</f>
        <v>0.4636523352617079</v>
      </c>
      <c r="F3" s="24">
        <f>Worksheet!$D$26</f>
        <v>0.4636523352617079</v>
      </c>
      <c r="G3" s="24">
        <f>Worksheet!$D$26</f>
        <v>0.4636523352617079</v>
      </c>
      <c r="H3" s="24">
        <f>Worksheet!$D$26</f>
        <v>0.4636523352617079</v>
      </c>
      <c r="I3" s="24">
        <f>Worksheet!$D$26</f>
        <v>0.4636523352617079</v>
      </c>
      <c r="J3" s="24">
        <v>0</v>
      </c>
    </row>
    <row r="4" spans="2:10" ht="12.75">
      <c r="B4" t="s">
        <v>19</v>
      </c>
      <c r="C4" s="24">
        <f>Worksheet!$E$26</f>
        <v>0.25585122608064104</v>
      </c>
      <c r="D4" s="24">
        <f>Worksheet!$E$26</f>
        <v>0.25585122608064104</v>
      </c>
      <c r="E4" s="24">
        <f>Worksheet!$E$26</f>
        <v>0.25585122608064104</v>
      </c>
      <c r="F4" s="24">
        <f>Worksheet!$E$26</f>
        <v>0.25585122608064104</v>
      </c>
      <c r="G4" s="24">
        <f>Worksheet!$E$26</f>
        <v>0.25585122608064104</v>
      </c>
      <c r="H4" s="24">
        <f>Worksheet!$E$26</f>
        <v>0.25585122608064104</v>
      </c>
      <c r="I4" s="24">
        <f>Worksheet!$E$26</f>
        <v>0.25585122608064104</v>
      </c>
      <c r="J4" s="24">
        <v>0</v>
      </c>
    </row>
    <row r="5" spans="2:10" ht="12.75">
      <c r="B5" t="s">
        <v>23</v>
      </c>
      <c r="C5" s="24">
        <f>Worksheet!$F$26</f>
        <v>0.1160658956716981</v>
      </c>
      <c r="D5" s="24">
        <f>Worksheet!$F$26</f>
        <v>0.1160658956716981</v>
      </c>
      <c r="E5" s="24">
        <f>Worksheet!$F$26</f>
        <v>0.1160658956716981</v>
      </c>
      <c r="F5" s="24">
        <f>Worksheet!$F$26</f>
        <v>0.1160658956716981</v>
      </c>
      <c r="G5" s="24">
        <f>Worksheet!$F$26</f>
        <v>0.1160658956716981</v>
      </c>
      <c r="H5" s="24">
        <f>Worksheet!$F$26</f>
        <v>0.1160658956716981</v>
      </c>
      <c r="I5" s="24">
        <f>Worksheet!$F$26</f>
        <v>0.1160658956716981</v>
      </c>
      <c r="J5" s="24">
        <v>0</v>
      </c>
    </row>
    <row r="6" spans="2:10" ht="12.75">
      <c r="B6" t="s">
        <v>20</v>
      </c>
      <c r="C6" s="24">
        <f>Worksheet!$G$26</f>
        <v>0.06246295993328321</v>
      </c>
      <c r="D6" s="24">
        <f>Worksheet!$G$26</f>
        <v>0.06246295993328321</v>
      </c>
      <c r="E6" s="24">
        <f>Worksheet!$G$26</f>
        <v>0.06246295993328321</v>
      </c>
      <c r="F6" s="24">
        <f>Worksheet!$G$26</f>
        <v>0.06246295993328321</v>
      </c>
      <c r="G6" s="24">
        <f>Worksheet!$G$26</f>
        <v>0.06246295993328321</v>
      </c>
      <c r="H6" s="24">
        <f>Worksheet!$G$26</f>
        <v>0.06246295993328321</v>
      </c>
      <c r="I6" s="24">
        <f>Worksheet!$G$26</f>
        <v>0.06246295993328321</v>
      </c>
      <c r="J6" s="24">
        <v>0</v>
      </c>
    </row>
    <row r="7" spans="2:10" ht="12.75">
      <c r="B7" t="s">
        <v>21</v>
      </c>
      <c r="C7" s="24">
        <f>Worksheet!$H$26</f>
        <v>0.033234123687151736</v>
      </c>
      <c r="D7" s="24">
        <f>Worksheet!$H$26</f>
        <v>0.033234123687151736</v>
      </c>
      <c r="E7" s="24">
        <f>Worksheet!$H$26</f>
        <v>0.033234123687151736</v>
      </c>
      <c r="F7" s="24">
        <f>Worksheet!$H$26</f>
        <v>0.033234123687151736</v>
      </c>
      <c r="G7" s="24">
        <f>Worksheet!$H$26</f>
        <v>0.033234123687151736</v>
      </c>
      <c r="H7" s="24">
        <f>Worksheet!$H$26</f>
        <v>0.033234123687151736</v>
      </c>
      <c r="I7" s="24">
        <f>Worksheet!$H$26</f>
        <v>0.033234123687151736</v>
      </c>
      <c r="J7" s="24">
        <v>0</v>
      </c>
    </row>
    <row r="8" spans="2:10" ht="12.75">
      <c r="B8" t="s">
        <v>22</v>
      </c>
      <c r="C8" s="24">
        <f>Worksheet!$I$26</f>
        <v>0.017588986441661476</v>
      </c>
      <c r="D8" s="24">
        <f>Worksheet!$I$26</f>
        <v>0.017588986441661476</v>
      </c>
      <c r="E8" s="24">
        <f>Worksheet!$I$26</f>
        <v>0.017588986441661476</v>
      </c>
      <c r="F8" s="24">
        <f>Worksheet!$I$26</f>
        <v>0.017588986441661476</v>
      </c>
      <c r="G8" s="24">
        <f>Worksheet!$I$26</f>
        <v>0.017588986441661476</v>
      </c>
      <c r="H8" s="24">
        <f>Worksheet!$I$26</f>
        <v>0.017588986441661476</v>
      </c>
      <c r="I8" s="24">
        <f>Worksheet!$I$26</f>
        <v>0.017588986441661476</v>
      </c>
      <c r="J8" s="24">
        <v>0</v>
      </c>
    </row>
    <row r="9" spans="2:10" ht="12.75">
      <c r="B9" t="s">
        <v>24</v>
      </c>
      <c r="C9" s="24">
        <f>Worksheet!$J$26</f>
        <v>0.009465634268105894</v>
      </c>
      <c r="D9" s="24">
        <f>Worksheet!$J$26</f>
        <v>0.009465634268105894</v>
      </c>
      <c r="E9" s="24">
        <f>Worksheet!$J$26</f>
        <v>0.009465634268105894</v>
      </c>
      <c r="F9" s="24">
        <f>Worksheet!$J$26</f>
        <v>0.009465634268105894</v>
      </c>
      <c r="G9" s="24">
        <f>Worksheet!$J$26</f>
        <v>0.009465634268105894</v>
      </c>
      <c r="H9" s="24">
        <f>Worksheet!$J$26</f>
        <v>0.009465634268105894</v>
      </c>
      <c r="I9" s="24">
        <f>Worksheet!$J$26</f>
        <v>0.009465634268105894</v>
      </c>
      <c r="J9" s="24">
        <f>SUM(I2:I9)</f>
        <v>1.4619420704351582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Intelligent Investor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Johnson</dc:creator>
  <cp:keywords/>
  <dc:description/>
  <cp:lastModifiedBy>Steven Johnson</cp:lastModifiedBy>
  <dcterms:created xsi:type="dcterms:W3CDTF">2007-11-26T08:07:40Z</dcterms:created>
  <dcterms:modified xsi:type="dcterms:W3CDTF">2009-06-18T02:15:50Z</dcterms:modified>
  <cp:category/>
  <cp:version/>
  <cp:contentType/>
  <cp:contentStatus/>
</cp:coreProperties>
</file>